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codeName="ThisWorkbook" autoCompressPictures="0"/>
  <bookViews>
    <workbookView xWindow="160" yWindow="0" windowWidth="24960" windowHeight="13960" tabRatio="500"/>
  </bookViews>
  <sheets>
    <sheet name="Calculator" sheetId="1" r:id="rId1"/>
    <sheet name="No Integra wiring model" sheetId="2" state="hidden" r:id="rId2"/>
    <sheet name="With Integra wiring model" sheetId="3" state="hidden" r:id="rId3"/>
    <sheet name="No Integra Conduit" sheetId="5" state="hidden" r:id="rId4"/>
    <sheet name="With Integra Conduit" sheetId="4" state="hidden" r:id="rId5"/>
    <sheet name="graphs" sheetId="6" state="hidden" r:id="rId6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3" l="1"/>
  <c r="C3" i="3"/>
  <c r="F2" i="3"/>
  <c r="I2" i="3"/>
  <c r="I3" i="3"/>
  <c r="I4" i="3"/>
  <c r="I5" i="3"/>
  <c r="I6" i="3"/>
  <c r="I7" i="3"/>
  <c r="I8" i="3"/>
  <c r="I9" i="3"/>
  <c r="F3" i="3"/>
  <c r="I19" i="2"/>
  <c r="I22" i="2"/>
  <c r="F4" i="3"/>
  <c r="F5" i="3"/>
  <c r="F6" i="3"/>
  <c r="B36" i="1"/>
  <c r="F7" i="3"/>
  <c r="C4" i="3"/>
  <c r="B37" i="1"/>
  <c r="C5" i="3"/>
  <c r="C6" i="3"/>
  <c r="F8" i="3"/>
  <c r="F10" i="3"/>
  <c r="H16" i="1"/>
  <c r="H12" i="1"/>
  <c r="I2" i="2"/>
  <c r="L2" i="2"/>
  <c r="L3" i="2"/>
  <c r="L4" i="2"/>
  <c r="L5" i="2"/>
  <c r="L6" i="2"/>
  <c r="L7" i="2"/>
  <c r="L8" i="2"/>
  <c r="L9" i="2"/>
  <c r="L10" i="2"/>
  <c r="I20" i="2"/>
  <c r="I23" i="2"/>
  <c r="L11" i="2"/>
  <c r="I5" i="2"/>
  <c r="I4" i="2"/>
  <c r="I3" i="2"/>
  <c r="I6" i="2"/>
  <c r="I11" i="2"/>
  <c r="C2" i="2"/>
  <c r="F2" i="2"/>
  <c r="F3" i="2"/>
  <c r="F4" i="2"/>
  <c r="F5" i="2"/>
  <c r="F6" i="2"/>
  <c r="F7" i="2"/>
  <c r="F8" i="2"/>
  <c r="F9" i="2"/>
  <c r="F10" i="2"/>
  <c r="C6" i="2"/>
  <c r="I25" i="2"/>
  <c r="G36" i="1"/>
  <c r="C8" i="2"/>
  <c r="I7" i="2"/>
  <c r="I8" i="2"/>
  <c r="I26" i="2"/>
  <c r="G37" i="1"/>
  <c r="F11" i="2"/>
  <c r="I12" i="2"/>
  <c r="L12" i="2"/>
  <c r="L13" i="2"/>
  <c r="H17" i="1"/>
  <c r="H13" i="1"/>
  <c r="C2" i="4"/>
  <c r="C3" i="4"/>
  <c r="C4" i="4"/>
  <c r="B25" i="1"/>
  <c r="E25" i="1"/>
  <c r="C3" i="6"/>
  <c r="C6" i="5"/>
  <c r="C7" i="5"/>
  <c r="C8" i="5"/>
  <c r="C12" i="5"/>
  <c r="C13" i="5"/>
  <c r="C14" i="5"/>
  <c r="C15" i="5"/>
  <c r="C16" i="5"/>
  <c r="C17" i="5"/>
  <c r="C18" i="5"/>
  <c r="C19" i="5"/>
  <c r="C20" i="5"/>
  <c r="C22" i="5"/>
  <c r="G25" i="1"/>
  <c r="J25" i="1"/>
  <c r="D3" i="6"/>
  <c r="E3" i="6"/>
  <c r="B33" i="1"/>
  <c r="D33" i="1"/>
  <c r="E33" i="1"/>
  <c r="E32" i="1"/>
  <c r="D34" i="1"/>
  <c r="C14" i="1"/>
  <c r="B34" i="1"/>
  <c r="E34" i="1"/>
  <c r="C4" i="6"/>
  <c r="G33" i="1"/>
  <c r="I33" i="1"/>
  <c r="J33" i="1"/>
  <c r="J32" i="1"/>
  <c r="I34" i="1"/>
  <c r="H3" i="1"/>
  <c r="H4" i="1"/>
  <c r="H9" i="1"/>
  <c r="G34" i="1"/>
  <c r="J34" i="1"/>
  <c r="D4" i="6"/>
  <c r="E4" i="6"/>
  <c r="B23" i="1"/>
  <c r="E23" i="1"/>
  <c r="B24" i="1"/>
  <c r="E24" i="1"/>
  <c r="B26" i="1"/>
  <c r="E26" i="1"/>
  <c r="E27" i="1"/>
  <c r="E28" i="1"/>
  <c r="E29" i="1"/>
  <c r="E30" i="1"/>
  <c r="E31" i="1"/>
  <c r="E35" i="1"/>
  <c r="C5" i="6"/>
  <c r="G23" i="1"/>
  <c r="J23" i="1"/>
  <c r="G24" i="1"/>
  <c r="J24" i="1"/>
  <c r="G26" i="1"/>
  <c r="J26" i="1"/>
  <c r="G27" i="1"/>
  <c r="J27" i="1"/>
  <c r="J28" i="1"/>
  <c r="J29" i="1"/>
  <c r="J30" i="1"/>
  <c r="J31" i="1"/>
  <c r="J35" i="1"/>
  <c r="D5" i="6"/>
  <c r="E5" i="6"/>
  <c r="E36" i="1"/>
  <c r="E37" i="1"/>
  <c r="C2" i="6"/>
  <c r="C6" i="6"/>
  <c r="J36" i="1"/>
  <c r="J37" i="1"/>
  <c r="D2" i="6"/>
  <c r="D6" i="6"/>
  <c r="E6" i="6"/>
  <c r="E2" i="6"/>
  <c r="C15" i="1"/>
  <c r="C5" i="2"/>
  <c r="C4" i="2"/>
  <c r="C3" i="2"/>
  <c r="H5" i="1"/>
  <c r="C7" i="2"/>
  <c r="E38" i="1"/>
  <c r="C16" i="1"/>
  <c r="J38" i="1"/>
  <c r="C19" i="1"/>
  <c r="C18" i="1"/>
  <c r="C17" i="1"/>
</calcChain>
</file>

<file path=xl/sharedStrings.xml><?xml version="1.0" encoding="utf-8"?>
<sst xmlns="http://schemas.openxmlformats.org/spreadsheetml/2006/main" count="175" uniqueCount="146">
  <si>
    <t>Site Specs</t>
  </si>
  <si>
    <t># of tanks</t>
  </si>
  <si>
    <t>QTY</t>
  </si>
  <si>
    <t>Description</t>
  </si>
  <si>
    <t>Cost</t>
  </si>
  <si>
    <t>Total Cost</t>
  </si>
  <si>
    <t>4" Riser Pipe</t>
  </si>
  <si>
    <t>18" Manhole</t>
  </si>
  <si>
    <t>Explosion Proof Junctiton Box</t>
  </si>
  <si>
    <t>Concrete (per yard)</t>
  </si>
  <si>
    <t>Small Excavator (per week)</t>
  </si>
  <si>
    <t>Bobcat (per day)</t>
  </si>
  <si>
    <t>Concrete Saw (per day)</t>
  </si>
  <si>
    <t>Concrete Blade</t>
  </si>
  <si>
    <t>With Integra</t>
  </si>
  <si>
    <t>yes</t>
  </si>
  <si>
    <t>Rigid Metal Conduit (10 ft pieces)</t>
  </si>
  <si>
    <t>Total home runs needed</t>
  </si>
  <si>
    <t>Truck Fuel (per mile, per truck)</t>
  </si>
  <si>
    <t>Without Integra Variables</t>
  </si>
  <si>
    <t>With Integra Variables</t>
  </si>
  <si>
    <t>$ amount saved with Integra</t>
  </si>
  <si>
    <t>% difference with Integra</t>
  </si>
  <si>
    <t>LLD Runs</t>
  </si>
  <si>
    <t>Ann. Runs</t>
  </si>
  <si>
    <t>Assumes 500 ft. spools are used for all runs under 500 ft., 1000 ft. spools for runs over 500 ft.</t>
  </si>
  <si>
    <t># of pump runs over 500 ft.</t>
  </si>
  <si>
    <t>1000 ft. spools needed</t>
  </si>
  <si>
    <t>500 ft wire spools needed</t>
  </si>
  <si>
    <t>1000 ft wire spools needed</t>
  </si>
  <si>
    <t>Shortest Dispenser Home Run</t>
  </si>
  <si>
    <t># of Dispenser runs under 170 ft.</t>
  </si>
  <si>
    <t># of Dispenser runs between 170 and 250ft.</t>
  </si>
  <si>
    <t># of Dispenser runs over 250ft.</t>
  </si>
  <si>
    <t>500 ft. Spools needed for Dispenser runs</t>
  </si>
  <si>
    <t>1000 ft. spools needed for dispenser runs</t>
  </si>
  <si>
    <t>Tank</t>
  </si>
  <si>
    <t># of tank runs under 170 ft.</t>
  </si>
  <si>
    <t># of tank runs between 170 and 250ft.</t>
  </si>
  <si>
    <t># of tank runs over 250ft.</t>
  </si>
  <si>
    <t># of tank runs over 500 ft.</t>
  </si>
  <si>
    <t>Dispenser run</t>
  </si>
  <si>
    <t>500 ft. spools needed</t>
  </si>
  <si>
    <t>tank</t>
  </si>
  <si>
    <t># of runs per tank</t>
  </si>
  <si>
    <t>1000 ft. spools needed for one tank runs</t>
  </si>
  <si>
    <t xml:space="preserve">Annular </t>
  </si>
  <si>
    <t>STP</t>
  </si>
  <si>
    <t>Sensor</t>
  </si>
  <si>
    <t>LLD</t>
  </si>
  <si>
    <t>total runs per tanks</t>
  </si>
  <si>
    <t>Total 500ft spools needed for all tank runs</t>
  </si>
  <si>
    <t>total 1000 ft spools needed for all tank runs</t>
  </si>
  <si>
    <t>Wire used</t>
  </si>
  <si>
    <t>actual wire used</t>
  </si>
  <si>
    <t>Dispenser run conduit</t>
  </si>
  <si>
    <t>Tank run conduit</t>
  </si>
  <si>
    <t>total pieces of conduit</t>
  </si>
  <si>
    <t>Conduit run 1 (dis. 1-6)</t>
  </si>
  <si>
    <t>Conduit run 2 (dis 7-12)</t>
  </si>
  <si>
    <t>total dis. Run conduit</t>
  </si>
  <si>
    <t>Tank 1</t>
  </si>
  <si>
    <t>Tank 2</t>
  </si>
  <si>
    <t>Tank 3</t>
  </si>
  <si>
    <t>Tank 4</t>
  </si>
  <si>
    <t>Tank 5</t>
  </si>
  <si>
    <t>Tank 6</t>
  </si>
  <si>
    <t>Tank 7</t>
  </si>
  <si>
    <t>Tank 8</t>
  </si>
  <si>
    <t>Dispenser conduit runs</t>
  </si>
  <si>
    <t>Tank conduit runs</t>
  </si>
  <si>
    <t>Accounts for runs from dispener and longest tank run, it's assumed all tanks use a separate conduit run and dispensers are grouped.  All data in pieces of conduit</t>
  </si>
  <si>
    <t>Accounts for run from dispener and longest tank run, if less than 6 tanks it's assumed all tank runs are in one conduit.  All data in pieces of conduit.</t>
  </si>
  <si>
    <t>Total tank run conduit</t>
  </si>
  <si>
    <t>Total conduit</t>
  </si>
  <si>
    <t>Conduit savings</t>
  </si>
  <si>
    <t>Wire savings</t>
  </si>
  <si>
    <t>Inst. Tot</t>
  </si>
  <si>
    <t>Inst. Tot.</t>
  </si>
  <si>
    <t>Labor Savings</t>
  </si>
  <si>
    <t>Modifiable Data</t>
  </si>
  <si>
    <t>Double Wall Tank? (yes or no)</t>
  </si>
  <si>
    <t>STP runs</t>
  </si>
  <si>
    <t>Shortest set of Tank Runs</t>
  </si>
  <si>
    <t>500 ft. Spools needed for one series of tank runs</t>
  </si>
  <si>
    <t>wire wasted</t>
  </si>
  <si>
    <t>Number of STP sensors per tank (1 or 2)</t>
  </si>
  <si>
    <t>Rate per contractor hour</t>
  </si>
  <si>
    <t>Total wiring to tanks</t>
  </si>
  <si>
    <t>Est. distance to closest tank</t>
  </si>
  <si>
    <t>Number of runs</t>
  </si>
  <si>
    <t>Labor (Wiring Installation)</t>
  </si>
  <si>
    <t>Labor (Conduit installation)</t>
  </si>
  <si>
    <t>Labor (Start up/roughly 1 day labor)</t>
  </si>
  <si>
    <t xml:space="preserve">Longest/effective tank run </t>
  </si>
  <si>
    <t>Shortest tank run</t>
  </si>
  <si>
    <t># of 500 ft spools needed</t>
  </si>
  <si>
    <t>wire wasted on dis. Run</t>
  </si>
  <si>
    <t># of 1000 ft spools needed</t>
  </si>
  <si>
    <t>wire wasted on tank runs</t>
  </si>
  <si>
    <t>total wire waste</t>
  </si>
  <si>
    <t>dispenser</t>
  </si>
  <si>
    <t>Wire Waste</t>
  </si>
  <si>
    <t xml:space="preserve">Assumes 500 ft. spools are used for all runs under 500 ft., 1000 ft. spools for runs over 500 ft.      </t>
  </si>
  <si>
    <t>500 ft</t>
  </si>
  <si>
    <t>total spools needed for all tank runs</t>
  </si>
  <si>
    <t>1000 ft</t>
  </si>
  <si>
    <t>Labor (Conduit installation hours)</t>
  </si>
  <si>
    <t>Labor (Wiring hours Installation hours)</t>
  </si>
  <si>
    <t>Without Integra</t>
  </si>
  <si>
    <t>Wire Waste Data (in feet)</t>
  </si>
  <si>
    <t>Total wire waste with Int</t>
  </si>
  <si>
    <t>Wire used for all runs</t>
  </si>
  <si>
    <t>wire used (1 run)</t>
  </si>
  <si>
    <t>Totals</t>
  </si>
  <si>
    <t>LLD/STP Runs</t>
  </si>
  <si>
    <t># of islands (dispenser sumps)</t>
  </si>
  <si>
    <t>Wire costs</t>
  </si>
  <si>
    <t>w/ integra</t>
  </si>
  <si>
    <t>w/o Int.</t>
  </si>
  <si>
    <t>Labor costs</t>
  </si>
  <si>
    <t>Conduit costs</t>
  </si>
  <si>
    <t>Misc. &amp; Rentals</t>
  </si>
  <si>
    <t>total costs</t>
  </si>
  <si>
    <t>Wire use</t>
  </si>
  <si>
    <t>1050ft (2.1 spools)</t>
  </si>
  <si>
    <t>450ft  (.9 spools)</t>
  </si>
  <si>
    <t>conduit needed</t>
  </si>
  <si>
    <t>44 pieces</t>
  </si>
  <si>
    <t>77 pieces</t>
  </si>
  <si>
    <t>440 ft.</t>
  </si>
  <si>
    <t>770 ft.</t>
  </si>
  <si>
    <t>labor needed (rough)</t>
  </si>
  <si>
    <t>14.5 hours</t>
  </si>
  <si>
    <t>28.25 hours</t>
  </si>
  <si>
    <t>2020 ft. (4.4 spools)</t>
  </si>
  <si>
    <t>2980 (5.6 spools)</t>
  </si>
  <si>
    <t>% savings w/</t>
  </si>
  <si>
    <t>1.8 days man labor</t>
  </si>
  <si>
    <t>3.6 days man labor</t>
  </si>
  <si>
    <t>Wire in Installation (in feet)</t>
  </si>
  <si>
    <t>* All data is a rough estimation and can vary on a number of variables ranging from fluctuations in material costs to equipment rental rates</t>
  </si>
  <si>
    <r>
      <t xml:space="preserve">LLD? (yes or no) </t>
    </r>
    <r>
      <rPr>
        <b/>
        <i/>
        <sz val="12"/>
        <color theme="1"/>
        <rFont val="Calibri"/>
        <scheme val="minor"/>
      </rPr>
      <t>Not available on Integra 100</t>
    </r>
  </si>
  <si>
    <r>
      <rPr>
        <sz val="36"/>
        <color theme="1"/>
        <rFont val="Calibri"/>
        <scheme val="minor"/>
      </rPr>
      <t xml:space="preserve">Integra Family/Multi-Drop Technology Contractor Savings </t>
    </r>
    <r>
      <rPr>
        <u/>
        <sz val="36"/>
        <color theme="1"/>
        <rFont val="Calibri"/>
        <scheme val="minor"/>
      </rPr>
      <t>Calculator</t>
    </r>
  </si>
  <si>
    <t>Risers to be installed? (yes or no)</t>
  </si>
  <si>
    <t>Est. dsitance to closest dispenser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</si>
</sst>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.00"/>
  </numFmts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indexed="206"/>
      <name val="Calibri"/>
      <family val="2"/>
    </font>
    <font>
      <i/>
      <sz val="12"/>
      <color theme="1"/>
      <name val="Calibri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scheme val="minor"/>
    </font>
    <font>
      <sz val="22"/>
      <color rgb="FFFF0000"/>
      <name val="Calibri"/>
      <scheme val="minor"/>
    </font>
    <font>
      <u/>
      <sz val="36"/>
      <color theme="1"/>
      <name val="Calibri"/>
      <scheme val="minor"/>
    </font>
    <font>
      <sz val="36"/>
      <color theme="1"/>
      <name val="Calibri"/>
      <scheme val="minor"/>
    </font>
    <font>
      <b/>
      <i/>
      <sz val="12"/>
      <color theme="1"/>
      <name val="Calibri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</borders>
  <cellStyleXfs count="20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0" fontId="0" fillId="0" borderId="2" xfId="0" applyNumberFormat="1" applyFill="1" applyBorder="1" applyAlignment="1">
      <alignment horizontal="center"/>
    </xf>
    <xf numFmtId="0" fontId="6" fillId="0" borderId="2" xfId="0" applyFont="1" applyBorder="1"/>
    <xf numFmtId="0" fontId="0" fillId="0" borderId="2" xfId="0" applyFont="1" applyFill="1" applyBorder="1" applyProtection="1"/>
    <xf numFmtId="0" fontId="0" fillId="0" borderId="2" xfId="0" applyFont="1" applyBorder="1" applyAlignment="1" applyProtection="1">
      <alignment horizontal="center" vertical="center"/>
    </xf>
    <xf numFmtId="0" fontId="0" fillId="0" borderId="2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6" fillId="0" borderId="2" xfId="0" applyFont="1" applyFill="1" applyBorder="1"/>
    <xf numFmtId="0" fontId="0" fillId="0" borderId="2" xfId="0" applyFill="1" applyBorder="1" applyAlignment="1">
      <alignment horizontal="center" vertical="center"/>
    </xf>
    <xf numFmtId="164" fontId="0" fillId="0" borderId="2" xfId="0" applyNumberFormat="1" applyFill="1" applyBorder="1"/>
    <xf numFmtId="164" fontId="0" fillId="0" borderId="2" xfId="0" applyNumberFormat="1" applyBorder="1"/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4" xfId="0" applyBorder="1"/>
    <xf numFmtId="6" fontId="0" fillId="0" borderId="5" xfId="0" applyNumberFormat="1" applyBorder="1"/>
    <xf numFmtId="164" fontId="0" fillId="0" borderId="5" xfId="0" applyNumberFormat="1" applyBorder="1"/>
    <xf numFmtId="0" fontId="6" fillId="0" borderId="6" xfId="0" applyFont="1" applyBorder="1"/>
    <xf numFmtId="164" fontId="6" fillId="0" borderId="7" xfId="0" applyNumberFormat="1" applyFont="1" applyBorder="1"/>
    <xf numFmtId="164" fontId="0" fillId="0" borderId="0" xfId="0" applyNumberFormat="1"/>
    <xf numFmtId="10" fontId="0" fillId="0" borderId="0" xfId="0" applyNumberFormat="1"/>
    <xf numFmtId="0" fontId="0" fillId="2" borderId="2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0" borderId="0" xfId="0" applyProtection="1"/>
    <xf numFmtId="0" fontId="6" fillId="0" borderId="2" xfId="0" applyFont="1" applyBorder="1" applyProtection="1"/>
    <xf numFmtId="0" fontId="0" fillId="0" borderId="2" xfId="0" applyFill="1" applyBorder="1" applyProtection="1"/>
    <xf numFmtId="0" fontId="0" fillId="0" borderId="2" xfId="0" applyBorder="1" applyAlignment="1" applyProtection="1">
      <alignment horizontal="center" vertical="center"/>
    </xf>
    <xf numFmtId="0" fontId="0" fillId="0" borderId="2" xfId="0" applyBorder="1" applyProtection="1"/>
    <xf numFmtId="0" fontId="3" fillId="0" borderId="2" xfId="0" applyFont="1" applyBorder="1" applyProtection="1"/>
    <xf numFmtId="0" fontId="5" fillId="0" borderId="2" xfId="0" applyFont="1" applyBorder="1" applyProtection="1"/>
    <xf numFmtId="0" fontId="6" fillId="0" borderId="2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6" fontId="0" fillId="0" borderId="5" xfId="0" applyNumberFormat="1" applyBorder="1" applyAlignment="1" applyProtection="1">
      <alignment horizontal="center"/>
    </xf>
    <xf numFmtId="164" fontId="0" fillId="0" borderId="5" xfId="0" applyNumberForma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164" fontId="6" fillId="0" borderId="7" xfId="0" applyNumberFormat="1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3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0" borderId="3" xfId="0" applyFont="1" applyBorder="1" applyAlignment="1" applyProtection="1">
      <alignment horizontal="left" vertical="center"/>
    </xf>
    <xf numFmtId="0" fontId="6" fillId="0" borderId="3" xfId="0" applyFont="1" applyBorder="1" applyProtection="1"/>
    <xf numFmtId="0" fontId="0" fillId="0" borderId="8" xfId="0" applyBorder="1" applyAlignment="1" applyProtection="1">
      <alignment horizontal="center"/>
    </xf>
    <xf numFmtId="0" fontId="0" fillId="0" borderId="8" xfId="0" applyBorder="1" applyProtection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8" xfId="0" applyFont="1" applyBorder="1" applyAlignment="1">
      <alignment horizontal="center" wrapText="1" shrinkToFit="1"/>
    </xf>
    <xf numFmtId="0" fontId="4" fillId="0" borderId="0" xfId="0" applyFont="1" applyAlignment="1">
      <alignment horizontal="center"/>
    </xf>
  </cellXfs>
  <cellStyles count="20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With Integra</c:v>
          </c:tx>
          <c:invertIfNegative val="0"/>
          <c:cat>
            <c:strRef>
              <c:f>graphs!$B$2:$B$6</c:f>
              <c:strCache>
                <c:ptCount val="5"/>
                <c:pt idx="0">
                  <c:v>Wire costs</c:v>
                </c:pt>
                <c:pt idx="1">
                  <c:v>Conduit costs</c:v>
                </c:pt>
                <c:pt idx="2">
                  <c:v>Labor costs</c:v>
                </c:pt>
                <c:pt idx="3">
                  <c:v>Misc. &amp; Rentals</c:v>
                </c:pt>
                <c:pt idx="4">
                  <c:v>total costs</c:v>
                </c:pt>
              </c:strCache>
            </c:strRef>
          </c:cat>
          <c:val>
            <c:numRef>
              <c:f>graphs!$C$2:$C$6</c:f>
              <c:numCache>
                <c:formatCode>"$"#,##0.00</c:formatCode>
                <c:ptCount val="5"/>
                <c:pt idx="0">
                  <c:v>2520.0</c:v>
                </c:pt>
                <c:pt idx="1">
                  <c:v>731.0</c:v>
                </c:pt>
                <c:pt idx="2">
                  <c:v>2045.0</c:v>
                </c:pt>
                <c:pt idx="3">
                  <c:v>2554.0</c:v>
                </c:pt>
                <c:pt idx="4">
                  <c:v>7850.0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649752"/>
        <c:axId val="2111652760"/>
      </c:barChart>
      <c:catAx>
        <c:axId val="2111649752"/>
        <c:scaling>
          <c:orientation val="minMax"/>
        </c:scaling>
        <c:delete val="0"/>
        <c:axPos val="b"/>
        <c:majorTickMark val="out"/>
        <c:minorTickMark val="none"/>
        <c:tickLblPos val="nextTo"/>
        <c:crossAx val="2111652760"/>
        <c:crosses val="autoZero"/>
        <c:auto val="1"/>
        <c:lblAlgn val="ctr"/>
        <c:lblOffset val="100"/>
        <c:noMultiLvlLbl val="0"/>
      </c:catAx>
      <c:valAx>
        <c:axId val="2111652760"/>
        <c:scaling>
          <c:orientation val="minMax"/>
          <c:max val="16000.0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2111649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Without Integra</c:v>
          </c:tx>
          <c:invertIfNegative val="0"/>
          <c:cat>
            <c:strRef>
              <c:f>graphs!$B$2:$B$6</c:f>
              <c:strCache>
                <c:ptCount val="5"/>
                <c:pt idx="0">
                  <c:v>Wire costs</c:v>
                </c:pt>
                <c:pt idx="1">
                  <c:v>Conduit costs</c:v>
                </c:pt>
                <c:pt idx="2">
                  <c:v>Labor costs</c:v>
                </c:pt>
                <c:pt idx="3">
                  <c:v>Misc. &amp; Rentals</c:v>
                </c:pt>
                <c:pt idx="4">
                  <c:v>total costs</c:v>
                </c:pt>
              </c:strCache>
            </c:strRef>
          </c:cat>
          <c:val>
            <c:numRef>
              <c:f>graphs!$D$2:$D$6</c:f>
              <c:numCache>
                <c:formatCode>"$"#,##0.00</c:formatCode>
                <c:ptCount val="5"/>
                <c:pt idx="0">
                  <c:v>4200.0</c:v>
                </c:pt>
                <c:pt idx="1">
                  <c:v>935.0</c:v>
                </c:pt>
                <c:pt idx="2">
                  <c:v>2745.0</c:v>
                </c:pt>
                <c:pt idx="3">
                  <c:v>2554.0</c:v>
                </c:pt>
                <c:pt idx="4">
                  <c:v>10434.0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4870456"/>
        <c:axId val="2074873400"/>
      </c:barChart>
      <c:catAx>
        <c:axId val="2074870456"/>
        <c:scaling>
          <c:orientation val="minMax"/>
        </c:scaling>
        <c:delete val="0"/>
        <c:axPos val="b"/>
        <c:majorTickMark val="out"/>
        <c:minorTickMark val="none"/>
        <c:tickLblPos val="nextTo"/>
        <c:crossAx val="2074873400"/>
        <c:crosses val="autoZero"/>
        <c:auto val="1"/>
        <c:lblAlgn val="ctr"/>
        <c:lblOffset val="100"/>
        <c:noMultiLvlLbl val="0"/>
      </c:catAx>
      <c:valAx>
        <c:axId val="2074873400"/>
        <c:scaling>
          <c:orientation val="minMax"/>
          <c:max val="16000.0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2074870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emf"/><Relationship Id="rId3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44823</xdr:colOff>
      <xdr:row>0</xdr:row>
      <xdr:rowOff>0</xdr:rowOff>
    </xdr:from>
    <xdr:to>
      <xdr:col>2</xdr:col>
      <xdr:colOff>37353</xdr:colOff>
      <xdr:row>0</xdr:row>
      <xdr:rowOff>1303866</xdr:rowOff>
    </xdr:to>
    <xdr:pic>
      <xdr:nvPicPr>
        <xdr:cNvPr id="4" name="Picture 3" descr="opw-fms-logo-230x109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556" y="0"/>
          <a:ext cx="2921997" cy="1303866"/>
        </a:xfrm>
        <a:prstGeom prst="rect">
          <a:avLst/>
        </a:prstGeom>
      </xdr:spPr>
    </xdr:pic>
    <xdr:clientData/>
  </xdr:twoCellAnchor>
  <xdr:twoCellAnchor editAs="oneCell">
    <xdr:from>
      <xdr:col>7</xdr:col>
      <xdr:colOff>2046942</xdr:colOff>
      <xdr:row>0</xdr:row>
      <xdr:rowOff>89648</xdr:rowOff>
    </xdr:from>
    <xdr:to>
      <xdr:col>9</xdr:col>
      <xdr:colOff>613902</xdr:colOff>
      <xdr:row>0</xdr:row>
      <xdr:rowOff>702236</xdr:rowOff>
    </xdr:to>
    <xdr:pic>
      <xdr:nvPicPr>
        <xdr:cNvPr id="5" name="Picture 4" descr="SiteSentinel Integra 100 logo.eps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30824" y="89648"/>
          <a:ext cx="2810254" cy="612588"/>
        </a:xfrm>
        <a:prstGeom prst="rect">
          <a:avLst/>
        </a:prstGeom>
      </xdr:spPr>
    </xdr:pic>
    <xdr:clientData/>
  </xdr:twoCellAnchor>
  <xdr:twoCellAnchor editAs="oneCell">
    <xdr:from>
      <xdr:col>7</xdr:col>
      <xdr:colOff>2061884</xdr:colOff>
      <xdr:row>0</xdr:row>
      <xdr:rowOff>787075</xdr:rowOff>
    </xdr:from>
    <xdr:to>
      <xdr:col>9</xdr:col>
      <xdr:colOff>627531</xdr:colOff>
      <xdr:row>0</xdr:row>
      <xdr:rowOff>1337733</xdr:rowOff>
    </xdr:to>
    <xdr:pic>
      <xdr:nvPicPr>
        <xdr:cNvPr id="6" name="Picture 5" descr="SiteSentinel Integra 500 logo.eps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6684" y="787075"/>
          <a:ext cx="2798980" cy="5506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368300</xdr:colOff>
      <xdr:row>11</xdr:row>
      <xdr:rowOff>12700</xdr:rowOff>
    </xdr:from>
    <xdr:to>
      <xdr:col>9</xdr:col>
      <xdr:colOff>711200</xdr:colOff>
      <xdr:row>25</xdr:row>
      <xdr:rowOff>88900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152400</xdr:colOff>
      <xdr:row>11</xdr:row>
      <xdr:rowOff>38100</xdr:rowOff>
    </xdr:from>
    <xdr:to>
      <xdr:col>15</xdr:col>
      <xdr:colOff>596900</xdr:colOff>
      <xdr:row>25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B1:J57"/>
  <sheetViews>
    <sheetView showGridLines="0" tabSelected="1" zoomScale="75" zoomScaleNormal="75" zoomScalePageLayoutView="75" workbookViewId="0">
      <selection activeCell="D9" sqref="D9"/>
    </sheetView>
  </sheetViews>
  <sheetFormatPr baseColWidth="10" defaultRowHeight="15" x14ac:dyDescent="0"/>
  <cols>
    <col min="2" max="2" width="38.5" style="5" customWidth="1"/>
    <col min="3" max="3" width="32.6640625" style="3" customWidth="1"/>
    <col min="5" max="5" width="23.5" style="6" customWidth="1"/>
    <col min="6" max="6" width="10.83203125" customWidth="1"/>
    <col min="7" max="7" width="43.33203125" customWidth="1"/>
    <col min="8" max="8" width="30.5" bestFit="1" customWidth="1"/>
    <col min="9" max="9" width="25.1640625" bestFit="1" customWidth="1"/>
    <col min="10" max="10" width="10.5" bestFit="1" customWidth="1"/>
    <col min="13" max="13" width="28.33203125" bestFit="1" customWidth="1"/>
    <col min="15" max="15" width="11.6640625" bestFit="1" customWidth="1"/>
  </cols>
  <sheetData>
    <row r="1" spans="2:10" ht="109" customHeight="1" thickBot="1">
      <c r="B1" s="57"/>
      <c r="C1" s="65" t="s">
        <v>143</v>
      </c>
      <c r="D1" s="65"/>
      <c r="E1" s="65"/>
      <c r="F1" s="65"/>
      <c r="G1" s="65"/>
      <c r="H1" s="65"/>
      <c r="I1" s="61"/>
      <c r="J1" s="62"/>
    </row>
    <row r="2" spans="2:10" ht="16" thickTop="1">
      <c r="B2" s="56" t="s">
        <v>0</v>
      </c>
      <c r="C2" s="58" t="s">
        <v>80</v>
      </c>
      <c r="F2" s="39"/>
      <c r="G2" s="59" t="s">
        <v>115</v>
      </c>
      <c r="H2" s="60" t="s">
        <v>114</v>
      </c>
      <c r="I2" s="39"/>
      <c r="J2" s="39"/>
    </row>
    <row r="3" spans="2:10">
      <c r="B3" s="11" t="s">
        <v>1</v>
      </c>
      <c r="C3" s="37">
        <v>2</v>
      </c>
      <c r="F3" s="39"/>
      <c r="G3" s="19" t="s">
        <v>23</v>
      </c>
      <c r="H3" s="20">
        <f>IF(C6="yes",C3,"0")</f>
        <v>2</v>
      </c>
      <c r="I3" s="39"/>
      <c r="J3" s="39"/>
    </row>
    <row r="4" spans="2:10">
      <c r="B4" s="12" t="s">
        <v>116</v>
      </c>
      <c r="C4" s="37">
        <v>4</v>
      </c>
      <c r="D4" s="9"/>
      <c r="F4" s="39"/>
      <c r="G4" s="41" t="s">
        <v>24</v>
      </c>
      <c r="H4" s="42">
        <f>IF(C7="yes",C3,"0")</f>
        <v>2</v>
      </c>
      <c r="I4" s="39"/>
      <c r="J4" s="39"/>
    </row>
    <row r="5" spans="2:10">
      <c r="B5" s="12" t="s">
        <v>144</v>
      </c>
      <c r="C5" s="37" t="s">
        <v>15</v>
      </c>
      <c r="D5" s="9"/>
      <c r="F5" s="39"/>
      <c r="G5" s="43" t="s">
        <v>82</v>
      </c>
      <c r="H5" s="42">
        <f>C3*C8</f>
        <v>2</v>
      </c>
      <c r="I5" s="39"/>
      <c r="J5" s="39"/>
    </row>
    <row r="6" spans="2:10">
      <c r="B6" s="12" t="s">
        <v>142</v>
      </c>
      <c r="C6" s="37" t="s">
        <v>15</v>
      </c>
      <c r="F6" s="39"/>
      <c r="G6" s="39"/>
      <c r="H6" s="39"/>
      <c r="I6" s="39"/>
      <c r="J6" s="39"/>
    </row>
    <row r="7" spans="2:10">
      <c r="B7" s="12" t="s">
        <v>81</v>
      </c>
      <c r="C7" s="37" t="s">
        <v>15</v>
      </c>
      <c r="F7" s="39"/>
      <c r="G7" s="39"/>
      <c r="H7" s="39"/>
      <c r="I7" s="39"/>
      <c r="J7" s="39"/>
    </row>
    <row r="8" spans="2:10">
      <c r="B8" s="11" t="s">
        <v>86</v>
      </c>
      <c r="C8" s="37">
        <v>1</v>
      </c>
      <c r="F8" s="39"/>
      <c r="G8" s="40" t="s">
        <v>19</v>
      </c>
      <c r="H8" s="43"/>
      <c r="I8" s="39"/>
      <c r="J8" s="39"/>
    </row>
    <row r="9" spans="2:10">
      <c r="B9" s="12" t="s">
        <v>145</v>
      </c>
      <c r="C9" s="37">
        <v>100</v>
      </c>
      <c r="D9" s="9"/>
      <c r="F9" s="39"/>
      <c r="G9" s="43" t="s">
        <v>17</v>
      </c>
      <c r="H9" s="44">
        <f>H3+H4+C4+(2*C3)</f>
        <v>12</v>
      </c>
      <c r="I9" s="39"/>
      <c r="J9" s="39"/>
    </row>
    <row r="10" spans="2:10">
      <c r="B10" s="11" t="s">
        <v>89</v>
      </c>
      <c r="C10" s="37">
        <v>150</v>
      </c>
      <c r="F10" s="39"/>
      <c r="G10" s="39"/>
      <c r="H10" s="39"/>
      <c r="I10" s="39"/>
      <c r="J10" s="39"/>
    </row>
    <row r="11" spans="2:10">
      <c r="B11" s="11" t="s">
        <v>87</v>
      </c>
      <c r="C11" s="38">
        <v>100</v>
      </c>
      <c r="F11" s="39"/>
      <c r="G11" s="40" t="s">
        <v>140</v>
      </c>
      <c r="H11" s="40" t="s">
        <v>114</v>
      </c>
      <c r="I11" s="39"/>
      <c r="J11" s="39"/>
    </row>
    <row r="12" spans="2:10">
      <c r="F12" s="39"/>
      <c r="G12" s="43" t="s">
        <v>14</v>
      </c>
      <c r="H12" s="45">
        <f>((B36*500)+(B37*1000))-H16</f>
        <v>945</v>
      </c>
      <c r="I12" s="39"/>
      <c r="J12" s="39"/>
    </row>
    <row r="13" spans="2:10">
      <c r="B13" s="13" t="s">
        <v>20</v>
      </c>
      <c r="C13" s="14" t="s">
        <v>114</v>
      </c>
      <c r="D13" s="9"/>
      <c r="F13" s="39"/>
      <c r="G13" s="43" t="s">
        <v>109</v>
      </c>
      <c r="H13" s="43">
        <f>((G36*500)+(G37*1000))-H17</f>
        <v>2100</v>
      </c>
      <c r="I13" s="39"/>
      <c r="J13" s="39"/>
    </row>
    <row r="14" spans="2:10">
      <c r="B14" s="12" t="s">
        <v>17</v>
      </c>
      <c r="C14" s="15" t="str">
        <f>IF(C6="yes", "4", "3")</f>
        <v>4</v>
      </c>
      <c r="D14" s="9"/>
      <c r="F14" s="39"/>
      <c r="G14" s="39"/>
      <c r="H14" s="39"/>
      <c r="I14" s="39"/>
      <c r="J14" s="39"/>
    </row>
    <row r="15" spans="2:10">
      <c r="B15" s="12" t="s">
        <v>75</v>
      </c>
      <c r="C15" s="16">
        <f>J25-E25</f>
        <v>204</v>
      </c>
      <c r="D15" s="9"/>
      <c r="F15" s="39"/>
      <c r="G15" s="40" t="s">
        <v>110</v>
      </c>
      <c r="H15" s="40" t="s">
        <v>114</v>
      </c>
      <c r="I15" s="39"/>
      <c r="J15" s="39"/>
    </row>
    <row r="16" spans="2:10">
      <c r="B16" s="12" t="s">
        <v>76</v>
      </c>
      <c r="C16" s="16">
        <f>(J36+J37)-(E36+E37)</f>
        <v>1680</v>
      </c>
      <c r="D16" s="9"/>
      <c r="F16" s="39"/>
      <c r="G16" s="43" t="s">
        <v>14</v>
      </c>
      <c r="H16" s="43">
        <f>IF('With Integra wiring model'!C6&gt;'With Integra wiring model'!I2,'With Integra wiring model'!F10-'With Integra wiring model'!I2,'With Integra wiring model'!F10)</f>
        <v>555</v>
      </c>
      <c r="I16" s="39"/>
      <c r="J16" s="39"/>
    </row>
    <row r="17" spans="2:10">
      <c r="B17" s="12" t="s">
        <v>79</v>
      </c>
      <c r="C17" s="16">
        <f>(J32+J33+J34)-(E32+E33+E34)</f>
        <v>700</v>
      </c>
      <c r="D17" s="9"/>
      <c r="F17" s="39"/>
      <c r="G17" s="43" t="s">
        <v>109</v>
      </c>
      <c r="H17" s="43">
        <f>IF('No Integra wiring model'!F11&gt;'No Integra wiring model'!L2,'No Integra wiring model'!L13-'No Integra wiring model'!L2,'No Integra wiring model'!L13)</f>
        <v>400</v>
      </c>
      <c r="I17" s="39"/>
      <c r="J17" s="39"/>
    </row>
    <row r="18" spans="2:10">
      <c r="B18" s="12" t="s">
        <v>21</v>
      </c>
      <c r="C18" s="16">
        <f>J38-E38</f>
        <v>2584</v>
      </c>
      <c r="D18" s="9"/>
      <c r="F18" s="39"/>
      <c r="G18" s="39"/>
      <c r="H18" s="39"/>
      <c r="I18" s="39"/>
      <c r="J18" s="39"/>
    </row>
    <row r="19" spans="2:10">
      <c r="B19" s="12" t="s">
        <v>22</v>
      </c>
      <c r="C19" s="17">
        <f>1-(E38/J38)</f>
        <v>0.24765190722637531</v>
      </c>
      <c r="D19" s="9"/>
      <c r="F19" s="39"/>
      <c r="G19" s="39"/>
      <c r="H19" s="39"/>
      <c r="I19" s="39"/>
      <c r="J19" s="39"/>
    </row>
    <row r="20" spans="2:10" ht="16" thickBot="1">
      <c r="B20" s="7"/>
      <c r="C20" s="8"/>
      <c r="D20" s="9"/>
      <c r="F20" s="39"/>
      <c r="G20" s="39"/>
      <c r="H20" s="39"/>
      <c r="I20" s="39"/>
      <c r="J20" s="39"/>
    </row>
    <row r="21" spans="2:10" ht="16" thickBot="1">
      <c r="B21" s="29" t="s">
        <v>14</v>
      </c>
      <c r="C21" s="9"/>
      <c r="D21" s="9"/>
      <c r="E21"/>
      <c r="F21" s="39"/>
      <c r="G21" s="55" t="s">
        <v>109</v>
      </c>
      <c r="H21" s="39"/>
      <c r="I21" s="39"/>
      <c r="J21" s="39"/>
    </row>
    <row r="22" spans="2:10">
      <c r="B22" s="28" t="s">
        <v>2</v>
      </c>
      <c r="C22" s="24" t="s">
        <v>3</v>
      </c>
      <c r="D22" s="24" t="s">
        <v>4</v>
      </c>
      <c r="E22" s="18" t="s">
        <v>5</v>
      </c>
      <c r="F22" s="39"/>
      <c r="G22" s="54" t="s">
        <v>2</v>
      </c>
      <c r="H22" s="46" t="s">
        <v>3</v>
      </c>
      <c r="I22" s="46" t="s">
        <v>4</v>
      </c>
      <c r="J22" s="46" t="s">
        <v>5</v>
      </c>
    </row>
    <row r="23" spans="2:10">
      <c r="B23" s="25" t="str">
        <f>IF(C5="yes", "0", C3)</f>
        <v>0</v>
      </c>
      <c r="C23" s="21" t="s">
        <v>6</v>
      </c>
      <c r="D23" s="26">
        <v>54</v>
      </c>
      <c r="E23" s="27">
        <f>B23*D23</f>
        <v>0</v>
      </c>
      <c r="F23" s="39"/>
      <c r="G23" s="47" t="str">
        <f>B23</f>
        <v>0</v>
      </c>
      <c r="H23" s="47" t="s">
        <v>6</v>
      </c>
      <c r="I23" s="48">
        <v>54</v>
      </c>
      <c r="J23" s="48">
        <f>I23*G23</f>
        <v>0</v>
      </c>
    </row>
    <row r="24" spans="2:10">
      <c r="B24" s="25" t="str">
        <f>IF(C5="yes", "0", C3)</f>
        <v>0</v>
      </c>
      <c r="C24" s="21" t="s">
        <v>7</v>
      </c>
      <c r="D24" s="26">
        <v>123</v>
      </c>
      <c r="E24" s="27">
        <f>D24*B24</f>
        <v>0</v>
      </c>
      <c r="F24" s="39"/>
      <c r="G24" s="47" t="str">
        <f>B24</f>
        <v>0</v>
      </c>
      <c r="H24" s="47" t="s">
        <v>7</v>
      </c>
      <c r="I24" s="48">
        <v>123</v>
      </c>
      <c r="J24" s="48">
        <f>I24*G24</f>
        <v>0</v>
      </c>
    </row>
    <row r="25" spans="2:10">
      <c r="B25" s="22">
        <f>'With Integra Conduit'!C4</f>
        <v>43</v>
      </c>
      <c r="C25" s="23" t="s">
        <v>16</v>
      </c>
      <c r="D25" s="27">
        <v>17</v>
      </c>
      <c r="E25" s="27">
        <f>B25*D25</f>
        <v>731</v>
      </c>
      <c r="F25" s="39"/>
      <c r="G25" s="47">
        <f>'No Integra Conduit'!C22</f>
        <v>55</v>
      </c>
      <c r="H25" s="47" t="s">
        <v>16</v>
      </c>
      <c r="I25" s="48">
        <v>17</v>
      </c>
      <c r="J25" s="48">
        <f t="shared" ref="J25:J35" si="0">I25*G25</f>
        <v>935</v>
      </c>
    </row>
    <row r="26" spans="2:10">
      <c r="B26" s="22">
        <f>C3</f>
        <v>2</v>
      </c>
      <c r="C26" s="23" t="s">
        <v>8</v>
      </c>
      <c r="D26" s="27">
        <v>123</v>
      </c>
      <c r="E26" s="27">
        <f>D26*B26</f>
        <v>246</v>
      </c>
      <c r="F26" s="39"/>
      <c r="G26" s="47">
        <f>B26</f>
        <v>2</v>
      </c>
      <c r="H26" s="47" t="s">
        <v>8</v>
      </c>
      <c r="I26" s="48">
        <v>123</v>
      </c>
      <c r="J26" s="48">
        <f t="shared" si="0"/>
        <v>246</v>
      </c>
    </row>
    <row r="27" spans="2:10">
      <c r="B27" s="22">
        <v>3</v>
      </c>
      <c r="C27" s="23" t="s">
        <v>9</v>
      </c>
      <c r="D27" s="27">
        <v>154</v>
      </c>
      <c r="E27" s="27">
        <f>B27*D27</f>
        <v>462</v>
      </c>
      <c r="F27" s="39"/>
      <c r="G27" s="47">
        <f>B27</f>
        <v>3</v>
      </c>
      <c r="H27" s="47" t="s">
        <v>9</v>
      </c>
      <c r="I27" s="48">
        <v>154</v>
      </c>
      <c r="J27" s="48">
        <f t="shared" si="0"/>
        <v>462</v>
      </c>
    </row>
    <row r="28" spans="2:10">
      <c r="B28" s="22">
        <v>1</v>
      </c>
      <c r="C28" s="23" t="s">
        <v>10</v>
      </c>
      <c r="D28" s="27">
        <v>385</v>
      </c>
      <c r="E28" s="27">
        <f>D28*B28</f>
        <v>385</v>
      </c>
      <c r="F28" s="39"/>
      <c r="G28" s="47">
        <v>1</v>
      </c>
      <c r="H28" s="47" t="s">
        <v>10</v>
      </c>
      <c r="I28" s="48">
        <v>385</v>
      </c>
      <c r="J28" s="48">
        <f t="shared" si="0"/>
        <v>385</v>
      </c>
    </row>
    <row r="29" spans="2:10">
      <c r="B29" s="22">
        <v>1</v>
      </c>
      <c r="C29" s="23" t="s">
        <v>11</v>
      </c>
      <c r="D29" s="27">
        <v>385</v>
      </c>
      <c r="E29" s="27">
        <f>B29*D29</f>
        <v>385</v>
      </c>
      <c r="F29" s="39"/>
      <c r="G29" s="47">
        <v>1</v>
      </c>
      <c r="H29" s="47" t="s">
        <v>11</v>
      </c>
      <c r="I29" s="48">
        <v>385</v>
      </c>
      <c r="J29" s="48">
        <f t="shared" si="0"/>
        <v>385</v>
      </c>
    </row>
    <row r="30" spans="2:10">
      <c r="B30" s="22">
        <v>1</v>
      </c>
      <c r="C30" s="23" t="s">
        <v>12</v>
      </c>
      <c r="D30" s="27">
        <v>154</v>
      </c>
      <c r="E30" s="27">
        <f>D30*B30</f>
        <v>154</v>
      </c>
      <c r="F30" s="39"/>
      <c r="G30" s="47">
        <v>1</v>
      </c>
      <c r="H30" s="47" t="s">
        <v>12</v>
      </c>
      <c r="I30" s="48">
        <v>154</v>
      </c>
      <c r="J30" s="48">
        <f t="shared" si="0"/>
        <v>154</v>
      </c>
    </row>
    <row r="31" spans="2:10">
      <c r="B31" s="22">
        <v>1</v>
      </c>
      <c r="C31" s="23" t="s">
        <v>13</v>
      </c>
      <c r="D31" s="27">
        <v>77</v>
      </c>
      <c r="E31" s="27">
        <f>B31*D31</f>
        <v>77</v>
      </c>
      <c r="F31" s="39"/>
      <c r="G31" s="47">
        <v>1</v>
      </c>
      <c r="H31" s="47" t="s">
        <v>13</v>
      </c>
      <c r="I31" s="48">
        <v>77</v>
      </c>
      <c r="J31" s="48">
        <f t="shared" si="0"/>
        <v>77</v>
      </c>
    </row>
    <row r="32" spans="2:10">
      <c r="B32" s="22">
        <v>1</v>
      </c>
      <c r="C32" s="23" t="s">
        <v>93</v>
      </c>
      <c r="D32" s="27">
        <v>770</v>
      </c>
      <c r="E32" s="27">
        <f>D32*B32</f>
        <v>770</v>
      </c>
      <c r="F32" s="39"/>
      <c r="G32" s="47">
        <v>1</v>
      </c>
      <c r="H32" s="43" t="s">
        <v>93</v>
      </c>
      <c r="I32" s="48">
        <v>770</v>
      </c>
      <c r="J32" s="48">
        <f t="shared" si="0"/>
        <v>770</v>
      </c>
    </row>
    <row r="33" spans="2:10">
      <c r="B33" s="22">
        <f>B25/4</f>
        <v>10.75</v>
      </c>
      <c r="C33" s="23" t="s">
        <v>107</v>
      </c>
      <c r="D33" s="27">
        <f>C11</f>
        <v>100</v>
      </c>
      <c r="E33" s="27">
        <f>B33*D33</f>
        <v>1075</v>
      </c>
      <c r="F33" s="39"/>
      <c r="G33" s="47">
        <f>G25/4</f>
        <v>13.75</v>
      </c>
      <c r="H33" s="47" t="s">
        <v>92</v>
      </c>
      <c r="I33" s="48">
        <f>C11</f>
        <v>100</v>
      </c>
      <c r="J33" s="48">
        <f t="shared" si="0"/>
        <v>1375</v>
      </c>
    </row>
    <row r="34" spans="2:10">
      <c r="B34" s="22">
        <f>0.5*C14</f>
        <v>2</v>
      </c>
      <c r="C34" s="23" t="s">
        <v>108</v>
      </c>
      <c r="D34" s="27">
        <f>C11</f>
        <v>100</v>
      </c>
      <c r="E34" s="27">
        <f>D34*B34</f>
        <v>200</v>
      </c>
      <c r="F34" s="39"/>
      <c r="G34" s="47">
        <f>H9/2</f>
        <v>6</v>
      </c>
      <c r="H34" s="47" t="s">
        <v>91</v>
      </c>
      <c r="I34" s="48">
        <f>C11</f>
        <v>100</v>
      </c>
      <c r="J34" s="48">
        <f t="shared" si="0"/>
        <v>600</v>
      </c>
    </row>
    <row r="35" spans="2:10">
      <c r="B35" s="25">
        <v>650</v>
      </c>
      <c r="C35" s="23" t="s">
        <v>18</v>
      </c>
      <c r="D35" s="27">
        <v>1.3</v>
      </c>
      <c r="E35" s="27">
        <f>B35*D35</f>
        <v>845</v>
      </c>
      <c r="F35" s="39"/>
      <c r="G35" s="47">
        <v>650</v>
      </c>
      <c r="H35" s="47" t="s">
        <v>18</v>
      </c>
      <c r="I35" s="48">
        <v>1.3</v>
      </c>
      <c r="J35" s="48">
        <f t="shared" si="0"/>
        <v>845</v>
      </c>
    </row>
    <row r="36" spans="2:10">
      <c r="B36" s="25">
        <f>'With Integra wiring model'!C3+'With Integra wiring model'!F6</f>
        <v>3</v>
      </c>
      <c r="C36" s="23" t="s">
        <v>28</v>
      </c>
      <c r="D36" s="27">
        <v>840</v>
      </c>
      <c r="E36" s="27">
        <f>D36*B36</f>
        <v>2520</v>
      </c>
      <c r="F36" s="39"/>
      <c r="G36" s="47">
        <f>'No Integra wiring model'!I25</f>
        <v>5</v>
      </c>
      <c r="H36" s="47" t="s">
        <v>28</v>
      </c>
      <c r="I36" s="48">
        <v>840</v>
      </c>
      <c r="J36" s="48">
        <f>I36*G36</f>
        <v>4200</v>
      </c>
    </row>
    <row r="37" spans="2:10" ht="16" thickBot="1">
      <c r="B37" s="25">
        <f>'With Integra wiring model'!F7+'With Integra wiring model'!C4</f>
        <v>0</v>
      </c>
      <c r="C37" s="23" t="s">
        <v>29</v>
      </c>
      <c r="D37" s="31">
        <v>1680</v>
      </c>
      <c r="E37" s="32">
        <f>D37*B37</f>
        <v>0</v>
      </c>
      <c r="F37" s="39"/>
      <c r="G37" s="47">
        <f>'No Integra wiring model'!I26</f>
        <v>0</v>
      </c>
      <c r="H37" s="47" t="s">
        <v>29</v>
      </c>
      <c r="I37" s="49">
        <v>1680</v>
      </c>
      <c r="J37" s="50">
        <f>I37*G37</f>
        <v>0</v>
      </c>
    </row>
    <row r="38" spans="2:10" ht="16" thickBot="1">
      <c r="B38" s="22"/>
      <c r="C38" s="30"/>
      <c r="D38" s="33" t="s">
        <v>77</v>
      </c>
      <c r="E38" s="34">
        <f>SUM(E23:E37)</f>
        <v>7850</v>
      </c>
      <c r="F38" s="39"/>
      <c r="G38" s="47"/>
      <c r="H38" s="51"/>
      <c r="I38" s="52" t="s">
        <v>78</v>
      </c>
      <c r="J38" s="53">
        <f>SUM(J23:J37)</f>
        <v>10434</v>
      </c>
    </row>
    <row r="39" spans="2:10">
      <c r="B39" s="8"/>
      <c r="D39" s="3"/>
      <c r="E39" s="3"/>
      <c r="F39" s="5"/>
    </row>
    <row r="40" spans="2:10">
      <c r="B40" s="63" t="s">
        <v>141</v>
      </c>
      <c r="C40" s="63"/>
      <c r="D40" s="63"/>
      <c r="E40" s="63"/>
      <c r="F40" s="63"/>
      <c r="G40" s="63"/>
    </row>
    <row r="41" spans="2:10" ht="28">
      <c r="B41" s="64"/>
      <c r="C41" s="64"/>
    </row>
    <row r="56" spans="3:5">
      <c r="C56"/>
      <c r="E56"/>
    </row>
    <row r="57" spans="3:5">
      <c r="C57"/>
      <c r="E57"/>
    </row>
  </sheetData>
  <sheetProtection password="CE39" sheet="1" objects="1" scenarios="1"/>
  <mergeCells count="3">
    <mergeCell ref="B40:G40"/>
    <mergeCell ref="B41:C41"/>
    <mergeCell ref="C1:H1"/>
  </mergeCells>
  <phoneticPr fontId="12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B1:N26"/>
  <sheetViews>
    <sheetView workbookViewId="0">
      <selection activeCell="C3" sqref="C3"/>
    </sheetView>
  </sheetViews>
  <sheetFormatPr baseColWidth="10" defaultRowHeight="15" x14ac:dyDescent="0"/>
  <cols>
    <col min="2" max="2" width="36.83203125" bestFit="1" customWidth="1"/>
    <col min="3" max="3" width="14.5" bestFit="1" customWidth="1"/>
    <col min="8" max="8" width="40.6640625" bestFit="1" customWidth="1"/>
    <col min="11" max="11" width="21.6640625" customWidth="1"/>
  </cols>
  <sheetData>
    <row r="1" spans="2:14">
      <c r="B1" s="66" t="s">
        <v>25</v>
      </c>
      <c r="C1" s="66"/>
      <c r="D1" s="66"/>
      <c r="E1" s="66"/>
      <c r="F1" s="66"/>
      <c r="H1" s="66" t="s">
        <v>25</v>
      </c>
      <c r="I1" s="66"/>
      <c r="J1" s="66"/>
      <c r="K1" s="66"/>
      <c r="L1" s="66"/>
      <c r="M1" s="66"/>
      <c r="N1" s="66"/>
    </row>
    <row r="2" spans="2:14">
      <c r="B2" t="s">
        <v>30</v>
      </c>
      <c r="C2">
        <f>Calculator!C9</f>
        <v>100</v>
      </c>
      <c r="D2" t="s">
        <v>101</v>
      </c>
      <c r="E2">
        <v>1</v>
      </c>
      <c r="F2">
        <f>IF(Calculator!C4&gt;=1,C2,"none")</f>
        <v>100</v>
      </c>
      <c r="H2" t="s">
        <v>83</v>
      </c>
      <c r="I2">
        <f>Calculator!C10</f>
        <v>150</v>
      </c>
      <c r="J2" t="s">
        <v>36</v>
      </c>
      <c r="K2">
        <v>1</v>
      </c>
      <c r="L2">
        <f>IF(Calculator!C3&gt;=1,I2,"none")</f>
        <v>150</v>
      </c>
    </row>
    <row r="3" spans="2:14">
      <c r="B3" t="s">
        <v>31</v>
      </c>
      <c r="C3" s="1">
        <f>COUNTIF(F2:F9,"&lt;=170")</f>
        <v>3</v>
      </c>
      <c r="E3">
        <v>2</v>
      </c>
      <c r="F3">
        <f>IF(Calculator!C4&gt;=2,C2+(35*E2),"none")</f>
        <v>135</v>
      </c>
      <c r="H3" t="s">
        <v>37</v>
      </c>
      <c r="I3">
        <f>COUNTIF(L2:L9,"&lt;=170")</f>
        <v>1</v>
      </c>
      <c r="K3">
        <v>2</v>
      </c>
      <c r="L3">
        <f>IF(Calculator!C3&gt;=2,I2+(35*K2),"none")</f>
        <v>185</v>
      </c>
    </row>
    <row r="4" spans="2:14">
      <c r="B4" t="s">
        <v>32</v>
      </c>
      <c r="C4">
        <f>COUNTIF(F2:F9,"&lt;=250")-COUNTIF(F2:F9, "&lt;=170")</f>
        <v>1</v>
      </c>
      <c r="E4">
        <v>3</v>
      </c>
      <c r="F4">
        <f>IF(Calculator!C4&gt;=3,C2+(35*E3),"none")</f>
        <v>170</v>
      </c>
      <c r="H4" t="s">
        <v>38</v>
      </c>
      <c r="I4">
        <f>COUNTIF(L2:L9,"&lt;=250")-COUNTIF(L2:L9, "&lt;170")</f>
        <v>1</v>
      </c>
      <c r="K4">
        <v>3</v>
      </c>
      <c r="L4" t="str">
        <f>IF(Calculator!C3&gt;=3,I2+(35*K3),"none")</f>
        <v>none</v>
      </c>
    </row>
    <row r="5" spans="2:14">
      <c r="B5" t="s">
        <v>33</v>
      </c>
      <c r="C5">
        <f>COUNTIF(F2:F9,"&gt;250")</f>
        <v>0</v>
      </c>
      <c r="E5">
        <v>4</v>
      </c>
      <c r="F5">
        <f>IF(Calculator!C4&gt;=4,C2+(35*E4),"none")</f>
        <v>205</v>
      </c>
      <c r="H5" t="s">
        <v>39</v>
      </c>
      <c r="I5">
        <f>COUNTIF(L2:L9,"&gt;250")</f>
        <v>0</v>
      </c>
      <c r="K5">
        <v>4</v>
      </c>
      <c r="L5" t="str">
        <f>IF(Calculator!C3&gt;=4,I2+(35*K4),"none")</f>
        <v>none</v>
      </c>
    </row>
    <row r="6" spans="2:14">
      <c r="B6" t="s">
        <v>34</v>
      </c>
      <c r="C6">
        <f>IF(F10&lt;=500,1,IF(F10&lt;=1000,2,(ROUND(C5+(0.5*C4)+(0.33*C3),0))))</f>
        <v>2</v>
      </c>
      <c r="E6">
        <v>5</v>
      </c>
      <c r="F6" t="str">
        <f>IF(Calculator!C4&gt;=5,C2+(35*E5),"none")</f>
        <v>none</v>
      </c>
      <c r="H6" t="s">
        <v>84</v>
      </c>
      <c r="I6">
        <f>IF(L10&lt;=500,1,((ROUNDUP(I5+(0.5*I4)+(0.33*I3),0))))</f>
        <v>1</v>
      </c>
      <c r="K6">
        <v>5</v>
      </c>
      <c r="L6" t="str">
        <f>IF(Calculator!C3&gt;=5,I2+(35*K5),"none")</f>
        <v>none</v>
      </c>
    </row>
    <row r="7" spans="2:14">
      <c r="B7" t="s">
        <v>26</v>
      </c>
      <c r="C7">
        <f>COUNTIF(F2:F9, "&gt;=500")</f>
        <v>0</v>
      </c>
      <c r="E7">
        <v>6</v>
      </c>
      <c r="F7" t="str">
        <f>IF(Calculator!C4&gt;=6,C2+(35*E6),"none")</f>
        <v>none</v>
      </c>
      <c r="H7" t="s">
        <v>40</v>
      </c>
      <c r="I7">
        <f>COUNTIF(L2:L9, "&gt;=500")</f>
        <v>0</v>
      </c>
      <c r="K7">
        <v>6</v>
      </c>
      <c r="L7" t="str">
        <f>IF(Calculator!C3&gt;=6,I2+(35*K6),"none")</f>
        <v>none</v>
      </c>
    </row>
    <row r="8" spans="2:14">
      <c r="B8" t="s">
        <v>35</v>
      </c>
      <c r="C8">
        <f>COUNTIF(F2:F9, "&gt;500")</f>
        <v>0</v>
      </c>
      <c r="E8">
        <v>7</v>
      </c>
      <c r="F8" t="str">
        <f>IF(Calculator!C4&gt;=7,C2+(35*E7),"none")</f>
        <v>none</v>
      </c>
      <c r="H8" t="s">
        <v>45</v>
      </c>
      <c r="I8">
        <f>I7</f>
        <v>0</v>
      </c>
      <c r="K8">
        <v>7</v>
      </c>
      <c r="L8" t="str">
        <f>IF(Calculator!C3&gt;=7,I2+(35*K7),"none")</f>
        <v>none</v>
      </c>
    </row>
    <row r="9" spans="2:14">
      <c r="E9">
        <v>8</v>
      </c>
      <c r="F9" t="str">
        <f>IF(Calculator!C4&gt;=8,C2+(35*E8),"none")</f>
        <v>none</v>
      </c>
      <c r="K9">
        <v>8</v>
      </c>
      <c r="L9" t="str">
        <f>IF(Calculator!C3&gt;=8,I2+(35*K8),"none")</f>
        <v>none</v>
      </c>
    </row>
    <row r="10" spans="2:14">
      <c r="E10" t="s">
        <v>53</v>
      </c>
      <c r="F10">
        <f>SUM(F2:F9)</f>
        <v>610</v>
      </c>
      <c r="H10" t="s">
        <v>105</v>
      </c>
      <c r="K10" t="s">
        <v>113</v>
      </c>
      <c r="L10">
        <f>SUM(L2:L9)</f>
        <v>335</v>
      </c>
    </row>
    <row r="11" spans="2:14">
      <c r="E11" t="s">
        <v>85</v>
      </c>
      <c r="F11">
        <f>(C6*500)+(1000*C8)-F10</f>
        <v>390</v>
      </c>
      <c r="H11" t="s">
        <v>104</v>
      </c>
      <c r="I11">
        <f>IF(L11&lt;=500,1,IF(L11&lt;=1000,2,IF(L11&lt;=1500,3,(IF(L11&lt;=2000,4,I6*I23)))))</f>
        <v>3</v>
      </c>
      <c r="K11" t="s">
        <v>112</v>
      </c>
      <c r="L11">
        <f>L10*I23</f>
        <v>1340</v>
      </c>
    </row>
    <row r="12" spans="2:14">
      <c r="H12" t="s">
        <v>106</v>
      </c>
      <c r="I12">
        <f>I8</f>
        <v>0</v>
      </c>
      <c r="K12" t="s">
        <v>102</v>
      </c>
      <c r="L12">
        <f>(I11*500)+(I12*1000)-L11</f>
        <v>160</v>
      </c>
    </row>
    <row r="13" spans="2:14">
      <c r="K13" t="s">
        <v>111</v>
      </c>
      <c r="L13">
        <f>L12+F11</f>
        <v>550</v>
      </c>
    </row>
    <row r="18" spans="8:9">
      <c r="H18" t="s">
        <v>44</v>
      </c>
    </row>
    <row r="19" spans="8:9">
      <c r="H19" t="s">
        <v>46</v>
      </c>
      <c r="I19">
        <f>IF(Calculator!C7="yes",1,0)</f>
        <v>1</v>
      </c>
    </row>
    <row r="20" spans="8:9">
      <c r="H20" t="s">
        <v>47</v>
      </c>
      <c r="I20">
        <f>Calculator!C8</f>
        <v>1</v>
      </c>
    </row>
    <row r="21" spans="8:9">
      <c r="H21" t="s">
        <v>48</v>
      </c>
      <c r="I21">
        <v>1</v>
      </c>
    </row>
    <row r="22" spans="8:9">
      <c r="H22" t="s">
        <v>49</v>
      </c>
      <c r="I22">
        <f>IF(Calculator!C6="yes",1,0)</f>
        <v>1</v>
      </c>
    </row>
    <row r="23" spans="8:9">
      <c r="H23" t="s">
        <v>50</v>
      </c>
      <c r="I23">
        <f>SUM(I19:I22)</f>
        <v>4</v>
      </c>
    </row>
    <row r="25" spans="8:9">
      <c r="H25" t="s">
        <v>51</v>
      </c>
      <c r="I25">
        <f>I11+C6</f>
        <v>5</v>
      </c>
    </row>
    <row r="26" spans="8:9">
      <c r="H26" t="s">
        <v>52</v>
      </c>
      <c r="I26">
        <f>C8+I8</f>
        <v>0</v>
      </c>
    </row>
  </sheetData>
  <mergeCells count="2">
    <mergeCell ref="B1:F1"/>
    <mergeCell ref="H1:N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B1:Q10"/>
  <sheetViews>
    <sheetView workbookViewId="0">
      <selection activeCell="C16" sqref="C16"/>
    </sheetView>
  </sheetViews>
  <sheetFormatPr baseColWidth="10" defaultRowHeight="15" x14ac:dyDescent="0"/>
  <cols>
    <col min="2" max="2" width="20.6640625" bestFit="1" customWidth="1"/>
    <col min="5" max="5" width="32.33203125" bestFit="1" customWidth="1"/>
  </cols>
  <sheetData>
    <row r="1" spans="2:17">
      <c r="B1" s="66" t="s">
        <v>103</v>
      </c>
      <c r="C1" s="66"/>
      <c r="D1" s="66"/>
      <c r="E1" s="66"/>
      <c r="F1" s="66"/>
      <c r="G1" s="66"/>
      <c r="H1" s="66"/>
      <c r="I1" s="66"/>
      <c r="J1" s="10"/>
      <c r="K1" s="10"/>
      <c r="L1" s="10"/>
      <c r="M1" s="10"/>
      <c r="N1" s="10"/>
      <c r="O1" s="10"/>
      <c r="P1" s="10"/>
      <c r="Q1" s="10"/>
    </row>
    <row r="2" spans="2:17">
      <c r="B2" t="s">
        <v>41</v>
      </c>
      <c r="C2">
        <f>Calculator!C9+(Calculator!C4*35)</f>
        <v>240</v>
      </c>
      <c r="E2" t="s">
        <v>95</v>
      </c>
      <c r="F2">
        <f>Calculator!C10</f>
        <v>150</v>
      </c>
      <c r="G2" t="s">
        <v>43</v>
      </c>
      <c r="H2">
        <v>1</v>
      </c>
      <c r="I2">
        <f>IF(Calculator!C3&gt;=1,F2,"none")</f>
        <v>150</v>
      </c>
    </row>
    <row r="3" spans="2:17">
      <c r="B3" t="s">
        <v>42</v>
      </c>
      <c r="C3" t="str">
        <f>IF(C2&lt;=500,"1","0")</f>
        <v>1</v>
      </c>
      <c r="E3" t="s">
        <v>94</v>
      </c>
      <c r="F3">
        <f>MAX(I2:I9)</f>
        <v>185</v>
      </c>
      <c r="H3">
        <v>2</v>
      </c>
      <c r="I3">
        <f>IF(Calculator!C3&gt;=2,I2+(35*H2),"none")</f>
        <v>185</v>
      </c>
    </row>
    <row r="4" spans="2:17">
      <c r="B4" t="s">
        <v>27</v>
      </c>
      <c r="C4" t="str">
        <f>IF(C2&gt;500,"1","0")</f>
        <v>0</v>
      </c>
      <c r="E4" t="s">
        <v>90</v>
      </c>
      <c r="F4">
        <f>'No Integra wiring model'!I19+'No Integra wiring model'!I22+'No Integra wiring model'!I21</f>
        <v>3</v>
      </c>
      <c r="H4">
        <v>3</v>
      </c>
      <c r="I4" t="str">
        <f>IF(Calculator!C3&gt;=3,I2+(35*H3),"none")</f>
        <v>none</v>
      </c>
    </row>
    <row r="5" spans="2:17">
      <c r="B5" t="s">
        <v>54</v>
      </c>
      <c r="C5">
        <f>C2</f>
        <v>240</v>
      </c>
      <c r="E5" t="s">
        <v>88</v>
      </c>
      <c r="F5">
        <f>F3*F4</f>
        <v>555</v>
      </c>
      <c r="H5">
        <v>4</v>
      </c>
      <c r="I5" t="str">
        <f>IF(Calculator!C3&gt;=4,I2+(35*H4),"none")</f>
        <v>none</v>
      </c>
    </row>
    <row r="6" spans="2:17">
      <c r="B6" t="s">
        <v>97</v>
      </c>
      <c r="C6">
        <f>(C3*500)+(C4*1000)-C5</f>
        <v>260</v>
      </c>
      <c r="E6" t="s">
        <v>96</v>
      </c>
      <c r="F6">
        <f>IF(F3&gt;500,0,IF(F5&lt;=500,1,IF(F3&gt;250,F4,(ROUNDUP((F5/500),0)))))</f>
        <v>2</v>
      </c>
      <c r="H6">
        <v>5</v>
      </c>
      <c r="I6" t="str">
        <f>IF(Calculator!C3&gt;=5,I2+(35*H5),"none")</f>
        <v>none</v>
      </c>
    </row>
    <row r="7" spans="2:17">
      <c r="E7" t="s">
        <v>98</v>
      </c>
      <c r="F7">
        <f>IF(F3&gt;500,F4,0)</f>
        <v>0</v>
      </c>
      <c r="H7">
        <v>6</v>
      </c>
      <c r="I7" t="str">
        <f>IF(Calculator!C3&gt;=6,I2+(35*H6),"none")</f>
        <v>none</v>
      </c>
    </row>
    <row r="8" spans="2:17">
      <c r="E8" t="s">
        <v>99</v>
      </c>
      <c r="F8">
        <f>(500*F6)+(1000*F7)-F5</f>
        <v>445</v>
      </c>
      <c r="H8">
        <v>7</v>
      </c>
      <c r="I8" t="str">
        <f>IF(Calculator!C3&gt;=7,I2+(35*H7),"none")</f>
        <v>none</v>
      </c>
    </row>
    <row r="9" spans="2:17">
      <c r="H9">
        <v>8</v>
      </c>
      <c r="I9" t="str">
        <f>IF(Calculator!C3&gt;=8,I2+(35*H8),"none")</f>
        <v>none</v>
      </c>
    </row>
    <row r="10" spans="2:17">
      <c r="E10" t="s">
        <v>100</v>
      </c>
      <c r="F10">
        <f>F8+C6</f>
        <v>705</v>
      </c>
    </row>
  </sheetData>
  <mergeCells count="1">
    <mergeCell ref="B1:I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B3:N23"/>
  <sheetViews>
    <sheetView workbookViewId="0">
      <selection activeCell="C27" sqref="C27"/>
    </sheetView>
  </sheetViews>
  <sheetFormatPr baseColWidth="10" defaultRowHeight="15" x14ac:dyDescent="0"/>
  <cols>
    <col min="2" max="2" width="22.6640625" bestFit="1" customWidth="1"/>
  </cols>
  <sheetData>
    <row r="3" spans="2:14">
      <c r="B3" s="66" t="s">
        <v>71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5" spans="2:14">
      <c r="B5" t="s">
        <v>69</v>
      </c>
    </row>
    <row r="6" spans="2:14">
      <c r="B6" t="s">
        <v>58</v>
      </c>
      <c r="C6">
        <f>ROUNDUP(MAX('No Integra wiring model'!F2:F7)/10,0)</f>
        <v>21</v>
      </c>
    </row>
    <row r="7" spans="2:14">
      <c r="B7" t="s">
        <v>59</v>
      </c>
      <c r="C7">
        <f>IF(Calculator!C4&gt;=7,ROUNDUP(MAX('No Integra wiring model'!F8:F9)/10,0),0)</f>
        <v>0</v>
      </c>
    </row>
    <row r="8" spans="2:14">
      <c r="B8" t="s">
        <v>60</v>
      </c>
      <c r="C8">
        <f>SUM(C6:C7)</f>
        <v>21</v>
      </c>
    </row>
    <row r="11" spans="2:14">
      <c r="B11" t="s">
        <v>70</v>
      </c>
    </row>
    <row r="12" spans="2:14">
      <c r="B12" t="s">
        <v>61</v>
      </c>
      <c r="C12">
        <f>IF(Calculator!C3&gt;=1,ROUNDUP('With Integra wiring model'!I2/10,0),0)</f>
        <v>15</v>
      </c>
    </row>
    <row r="13" spans="2:14">
      <c r="B13" t="s">
        <v>62</v>
      </c>
      <c r="C13">
        <f>IF(Calculator!C3&gt;=2,ROUNDUP('With Integra wiring model'!I3/10,0),0)</f>
        <v>19</v>
      </c>
    </row>
    <row r="14" spans="2:14">
      <c r="B14" t="s">
        <v>63</v>
      </c>
      <c r="C14">
        <f>IF(Calculator!C3&gt;=3,ROUNDUP('With Integra wiring model'!I4/10,0),0)</f>
        <v>0</v>
      </c>
    </row>
    <row r="15" spans="2:14">
      <c r="B15" t="s">
        <v>64</v>
      </c>
      <c r="C15">
        <f>IF(Calculator!C3&gt;=4,ROUNDUP('With Integra wiring model'!I5/10,0),0)</f>
        <v>0</v>
      </c>
    </row>
    <row r="16" spans="2:14">
      <c r="B16" t="s">
        <v>65</v>
      </c>
      <c r="C16">
        <f>IF(Calculator!C3&gt;=5,ROUNDUP('With Integra wiring model'!I6/10,0),0)</f>
        <v>0</v>
      </c>
    </row>
    <row r="17" spans="2:3">
      <c r="B17" t="s">
        <v>66</v>
      </c>
      <c r="C17">
        <f>IF(Calculator!C3&gt;=6,ROUNDUP('With Integra wiring model'!I7/10,0),0)</f>
        <v>0</v>
      </c>
    </row>
    <row r="18" spans="2:3">
      <c r="B18" s="4" t="s">
        <v>67</v>
      </c>
      <c r="C18">
        <f>IF(Calculator!C3&gt;=7,ROUNDUP('With Integra wiring model'!I8/10,0),0)</f>
        <v>0</v>
      </c>
    </row>
    <row r="19" spans="2:3">
      <c r="B19" s="4" t="s">
        <v>68</v>
      </c>
      <c r="C19">
        <f>IF(Calculator!C3&gt;=8,ROUNDUP('With Integra wiring model'!I9/10,0),0)</f>
        <v>0</v>
      </c>
    </row>
    <row r="20" spans="2:3">
      <c r="B20" s="4" t="s">
        <v>73</v>
      </c>
      <c r="C20">
        <f>SUM(C12:C19)</f>
        <v>34</v>
      </c>
    </row>
    <row r="21" spans="2:3">
      <c r="B21" s="4"/>
    </row>
    <row r="22" spans="2:3">
      <c r="B22" s="4" t="s">
        <v>74</v>
      </c>
      <c r="C22">
        <f>C8+C20</f>
        <v>55</v>
      </c>
    </row>
    <row r="23" spans="2:3">
      <c r="B23" s="4"/>
    </row>
  </sheetData>
  <mergeCells count="1">
    <mergeCell ref="B3:N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B1:E4"/>
  <sheetViews>
    <sheetView workbookViewId="0">
      <selection activeCell="H36" sqref="H36"/>
    </sheetView>
  </sheetViews>
  <sheetFormatPr baseColWidth="10" defaultRowHeight="15" x14ac:dyDescent="0"/>
  <cols>
    <col min="2" max="2" width="19.1640625" bestFit="1" customWidth="1"/>
  </cols>
  <sheetData>
    <row r="1" spans="2:5">
      <c r="B1" s="2" t="s">
        <v>72</v>
      </c>
      <c r="C1" s="2"/>
      <c r="D1" s="2"/>
      <c r="E1" s="2"/>
    </row>
    <row r="2" spans="2:5">
      <c r="B2" t="s">
        <v>55</v>
      </c>
      <c r="C2">
        <f>ROUNDUP('With Integra wiring model'!C5/10,0)</f>
        <v>24</v>
      </c>
    </row>
    <row r="3" spans="2:5">
      <c r="B3" t="s">
        <v>56</v>
      </c>
      <c r="C3">
        <f>ROUNDUP(MAX('With Integra wiring model'!I2:I9)/10,0)</f>
        <v>19</v>
      </c>
    </row>
    <row r="4" spans="2:5">
      <c r="B4" t="s">
        <v>57</v>
      </c>
      <c r="C4">
        <f>IF(Calculator!C3&gt;=6,(2*C3)+C2, C2+C3)</f>
        <v>43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B1:E16"/>
  <sheetViews>
    <sheetView workbookViewId="0">
      <selection activeCell="I7" sqref="I7"/>
    </sheetView>
  </sheetViews>
  <sheetFormatPr baseColWidth="10" defaultRowHeight="15" x14ac:dyDescent="0"/>
  <cols>
    <col min="2" max="2" width="23.83203125" bestFit="1" customWidth="1"/>
    <col min="3" max="3" width="16.33203125" bestFit="1" customWidth="1"/>
    <col min="4" max="4" width="16.83203125" bestFit="1" customWidth="1"/>
    <col min="5" max="5" width="12.1640625" bestFit="1" customWidth="1"/>
  </cols>
  <sheetData>
    <row r="1" spans="2:5">
      <c r="C1" t="s">
        <v>118</v>
      </c>
      <c r="D1" t="s">
        <v>119</v>
      </c>
      <c r="E1" t="s">
        <v>137</v>
      </c>
    </row>
    <row r="2" spans="2:5">
      <c r="B2" t="s">
        <v>117</v>
      </c>
      <c r="C2" s="35">
        <f>Calculator!E36+Calculator!E37</f>
        <v>2520</v>
      </c>
      <c r="D2" s="35">
        <f>Calculator!J36+Calculator!J37</f>
        <v>4200</v>
      </c>
      <c r="E2" s="36">
        <f>1-(C2/D2)</f>
        <v>0.4</v>
      </c>
    </row>
    <row r="3" spans="2:5">
      <c r="B3" t="s">
        <v>121</v>
      </c>
      <c r="C3" s="35">
        <f>Calculator!E25</f>
        <v>731</v>
      </c>
      <c r="D3" s="35">
        <f>Calculator!J25</f>
        <v>935</v>
      </c>
      <c r="E3" s="36">
        <f t="shared" ref="E3:E6" si="0">1-(C3/D3)</f>
        <v>0.21818181818181814</v>
      </c>
    </row>
    <row r="4" spans="2:5">
      <c r="B4" t="s">
        <v>120</v>
      </c>
      <c r="C4" s="35">
        <f>Calculator!E32+Calculator!E33+Calculator!E34</f>
        <v>2045</v>
      </c>
      <c r="D4" s="35">
        <f>Calculator!J32+Calculator!J33+Calculator!J34</f>
        <v>2745</v>
      </c>
      <c r="E4" s="36">
        <f t="shared" si="0"/>
        <v>0.25500910746812389</v>
      </c>
    </row>
    <row r="5" spans="2:5">
      <c r="B5" t="s">
        <v>122</v>
      </c>
      <c r="C5" s="35">
        <f>Calculator!E23+Calculator!E24+Calculator!E26+Calculator!E27+Calculator!E28+Calculator!E29+Calculator!E30+Calculator!E31+Calculator!E35</f>
        <v>2554</v>
      </c>
      <c r="D5" s="35">
        <f>Calculator!J23+Calculator!J24+Calculator!J26+Calculator!J27+Calculator!J28+Calculator!J29+Calculator!J30+Calculator!J31+Calculator!J35</f>
        <v>2554</v>
      </c>
      <c r="E5" s="36">
        <f t="shared" si="0"/>
        <v>0</v>
      </c>
    </row>
    <row r="6" spans="2:5">
      <c r="B6" t="s">
        <v>123</v>
      </c>
      <c r="C6" s="35">
        <f>C2+C3+C4+C5</f>
        <v>7850</v>
      </c>
      <c r="D6" s="35">
        <f>D2+D3+D4+D5</f>
        <v>10434</v>
      </c>
      <c r="E6" s="36">
        <f t="shared" si="0"/>
        <v>0.24765190722637531</v>
      </c>
    </row>
    <row r="9" spans="2:5">
      <c r="B9" t="s">
        <v>124</v>
      </c>
      <c r="C9" t="s">
        <v>125</v>
      </c>
      <c r="D9" t="s">
        <v>136</v>
      </c>
    </row>
    <row r="10" spans="2:5">
      <c r="B10" t="s">
        <v>102</v>
      </c>
      <c r="C10" t="s">
        <v>126</v>
      </c>
      <c r="D10" s="23" t="s">
        <v>135</v>
      </c>
    </row>
    <row r="12" spans="2:5">
      <c r="B12" t="s">
        <v>127</v>
      </c>
      <c r="C12" t="s">
        <v>128</v>
      </c>
      <c r="D12" t="s">
        <v>129</v>
      </c>
    </row>
    <row r="13" spans="2:5">
      <c r="C13" t="s">
        <v>130</v>
      </c>
      <c r="D13" t="s">
        <v>131</v>
      </c>
    </row>
    <row r="15" spans="2:5">
      <c r="B15" t="s">
        <v>132</v>
      </c>
      <c r="C15" t="s">
        <v>133</v>
      </c>
      <c r="D15" t="s">
        <v>134</v>
      </c>
    </row>
    <row r="16" spans="2:5">
      <c r="C16" t="s">
        <v>138</v>
      </c>
      <c r="D16" t="s">
        <v>139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Calculator</vt:lpstr>
      <vt:lpstr>No Integra wiring model</vt:lpstr>
      <vt:lpstr>With Integra wiring model</vt:lpstr>
      <vt:lpstr>No Integra Conduit</vt:lpstr>
      <vt:lpstr>With Integra Conduit</vt:lpstr>
      <vt:lpstr>graphs</vt:lpstr>
    </vt:vector>
  </TitlesOfParts>
  <Company>I Got You Entertainment and Promotions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Colton Stombaugh</dc:creator>
  <cp:lastModifiedBy>Colton Stombaugh</cp:lastModifiedBy>
  <dcterms:created xsi:type="dcterms:W3CDTF">2013-04-09T18:52:04Z</dcterms:created>
  <dcterms:modified xsi:type="dcterms:W3CDTF">2013-10-18T17:47:51Z</dcterms:modified>
</cp:coreProperties>
</file>